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<sst xmlns="http://schemas.openxmlformats.org/spreadsheetml/2006/main" count="48" uniqueCount="42">
  <si>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Chevy Volt</t>
  </si>
  <si>
    <t>Nissan Leaf</t>
  </si>
  <si>
    <t>Toyota Prius</t>
  </si>
  <si>
    <t>Honda Civic</t>
  </si>
  <si>
    <t>VW Jetta TDI</t>
  </si>
  <si>
    <t>Used Civic</t>
  </si>
  <si>
    <t>Purchase Price, 2011</t>
  </si>
  <si>
    <t>Resale Value, 8 years</t>
  </si>
  <si>
    <t>Miles/Gal City</t>
  </si>
  <si>
    <t>Miles/Gal Hwy</t>
  </si>
  <si>
    <t>Miles/KWH EV</t>
  </si>
  <si>
    <t>Routine Annual Maint</t>
  </si>
  <si>
    <t>Avg Repair Cost/Year</t>
  </si>
  <si>
    <t>Insurance/year</t>
  </si>
  <si>
    <t>License / Registration</t>
  </si>
  <si>
    <t>Gas Cost per Gallon</t>
  </si>
  <si>
    <t xml:space="preserve">    </t>
  </si>
  <si>
    <t>Electricity $ per KWH</t>
  </si>
  <si>
    <t>Diesel Cost per Gal</t>
  </si>
  <si>
    <t>Loan Down Payment</t>
  </si>
  <si>
    <t>Loan Term, Months</t>
  </si>
  <si>
    <t>Loan Interest %</t>
  </si>
  <si>
    <t xml:space="preserve">Annual Miles on Trips &lt; 40 Miles </t>
  </si>
  <si>
    <t>Annual Miles on Trips &gt; 40 and &lt;100 Miles</t>
  </si>
  <si>
    <t>Annual Miles on Trips &gt; 100 Miles</t>
  </si>
  <si>
    <t>Total Mileage Driven</t>
  </si>
  <si>
    <t>Miles in gas car for &gt; 100 mile trips (Leaf)</t>
  </si>
  <si>
    <t>EV Kilowatt Hours Used / Year</t>
  </si>
  <si>
    <t>Gallons Gas or Diesel Used / Year</t>
  </si>
  <si>
    <t>Combined KWH Energy Used / Month</t>
  </si>
  <si>
    <t>Fuel Cost / Month</t>
  </si>
  <si>
    <t>Fuel Cost / Year</t>
  </si>
  <si>
    <t>Monthly Payment</t>
  </si>
  <si>
    <t>Total Interest Cost</t>
  </si>
  <si>
    <t>Fuel Cost Savings / Year Vs 20mpg Car</t>
  </si>
  <si>
    <t>Monthly Payment Offset by Savings</t>
  </si>
  <si>
    <t>Fuel Cost Savings over 8 Year Period</t>
  </si>
  <si>
    <t>Total Cost of Ownership, 8 Years</t>
  </si>
  <si>
    <t>Average Cost of Ownership, per Year</t>
  </si>
  <si>
    <t>Average Cost of Energy, Per Mile</t>
  </si>
  <si>
    <t>Average Cost of Ownership, Per Mile</t>
  </si>
  <si>
    <t>Spreadsheet copyright 2011 Dave Muse Media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</si>
</sst>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.00;\-[$$-409]#,##0.00"/>
  </numFmts>
  <fonts count="2">
    <font>
      <sz val="10"/>
      <name val="Arial"/>
      <family val="2"/>
    </font>
    <font>
      <b/>
      <sz val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2" borderId="0" xfId="0" applyFont="1" applyFill="1" applyAlignment="1">
      <alignment horizontal="right"/>
    </xf>
    <xf numFmtId="164" fontId="1" fillId="3" borderId="0" xfId="0" applyFont="1" applyFill="1" applyAlignment="1">
      <alignment/>
    </xf>
    <xf numFmtId="164" fontId="0" fillId="4" borderId="0" xfId="0" applyFill="1" applyAlignment="1">
      <alignment/>
    </xf>
    <xf numFmtId="164" fontId="1" fillId="5" borderId="0" xfId="0" applyFont="1" applyFill="1" applyAlignment="1">
      <alignment/>
    </xf>
    <xf numFmtId="164" fontId="1" fillId="6" borderId="0" xfId="0" applyFont="1" applyFill="1" applyAlignment="1">
      <alignment/>
    </xf>
    <xf numFmtId="164" fontId="1" fillId="7" borderId="0" xfId="0" applyFont="1" applyFill="1" applyAlignment="1">
      <alignment/>
    </xf>
    <xf numFmtId="164" fontId="0" fillId="8" borderId="0" xfId="0" applyFill="1" applyAlignment="1">
      <alignment/>
    </xf>
    <xf numFmtId="164" fontId="0" fillId="9" borderId="0" xfId="0" applyFill="1" applyAlignment="1">
      <alignment/>
    </xf>
    <xf numFmtId="164" fontId="1" fillId="10" borderId="0" xfId="0" applyFont="1" applyFill="1" applyAlignment="1">
      <alignment/>
    </xf>
    <xf numFmtId="164" fontId="1" fillId="7" borderId="0" xfId="0" applyFont="1" applyFill="1" applyAlignment="1">
      <alignment wrapText="1"/>
    </xf>
    <xf numFmtId="164" fontId="1" fillId="10" borderId="0" xfId="0" applyFont="1" applyFill="1" applyAlignment="1">
      <alignment wrapText="1"/>
    </xf>
    <xf numFmtId="164" fontId="0" fillId="9" borderId="0" xfId="0" applyFill="1" applyAlignment="1">
      <alignment wrapText="1"/>
    </xf>
    <xf numFmtId="164" fontId="1" fillId="11" borderId="0" xfId="0" applyFont="1" applyFill="1" applyAlignment="1">
      <alignment/>
    </xf>
    <xf numFmtId="164" fontId="0" fillId="12" borderId="0" xfId="0" applyFill="1" applyAlignment="1">
      <alignment/>
    </xf>
    <xf numFmtId="164" fontId="1" fillId="13" borderId="0" xfId="0" applyFont="1" applyFill="1" applyAlignment="1">
      <alignment wrapText="1"/>
    </xf>
    <xf numFmtId="165" fontId="0" fillId="12" borderId="0" xfId="0" applyNumberFormat="1" applyFill="1" applyAlignment="1">
      <alignment/>
    </xf>
    <xf numFmtId="164" fontId="1" fillId="11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27">
      <selection activeCell="A45" sqref="A45"/>
    </sheetView>
  </sheetViews>
  <sheetFormatPr defaultColWidth="12.57421875" defaultRowHeight="12.75"/>
  <cols>
    <col min="1" max="1" width="18.8515625" style="0" customWidth="1"/>
    <col min="2" max="5" width="11.57421875" style="0" customWidth="1"/>
    <col min="6" max="16384" width="11.57421875" style="0" customWidth="1"/>
  </cols>
  <sheetData>
    <row r="1" spans="2:7" ht="13.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3.5">
      <c r="A2" s="2" t="s">
        <v>6</v>
      </c>
      <c r="B2" s="3">
        <v>32780</v>
      </c>
      <c r="C2" s="3">
        <v>25280</v>
      </c>
      <c r="D2" s="3">
        <v>23520</v>
      </c>
      <c r="E2" s="3">
        <v>15605</v>
      </c>
      <c r="F2" s="3">
        <v>22995</v>
      </c>
      <c r="G2" s="3">
        <v>11385</v>
      </c>
    </row>
    <row r="3" spans="1:7" ht="13.5">
      <c r="A3" s="4" t="s">
        <v>7</v>
      </c>
      <c r="B3" s="3">
        <v>17050</v>
      </c>
      <c r="C3" s="3">
        <v>13146</v>
      </c>
      <c r="D3" s="3">
        <v>11524</v>
      </c>
      <c r="E3" s="3">
        <v>8739</v>
      </c>
      <c r="F3" s="3">
        <v>11957</v>
      </c>
      <c r="G3" s="3">
        <v>3985</v>
      </c>
    </row>
    <row r="4" spans="1:7" ht="13.5">
      <c r="A4" s="2" t="s">
        <v>8</v>
      </c>
      <c r="B4" s="3">
        <v>35</v>
      </c>
      <c r="C4" s="3"/>
      <c r="D4" s="3">
        <v>51</v>
      </c>
      <c r="E4" s="3">
        <v>29</v>
      </c>
      <c r="F4" s="3">
        <v>30</v>
      </c>
      <c r="G4" s="3">
        <v>29</v>
      </c>
    </row>
    <row r="5" spans="1:7" ht="13.5">
      <c r="A5" s="4" t="s">
        <v>9</v>
      </c>
      <c r="B5" s="3">
        <v>40</v>
      </c>
      <c r="C5" s="3"/>
      <c r="D5" s="3">
        <v>48</v>
      </c>
      <c r="E5" s="3">
        <v>41</v>
      </c>
      <c r="F5" s="3">
        <v>42</v>
      </c>
      <c r="G5" s="3">
        <v>41</v>
      </c>
    </row>
    <row r="6" spans="1:7" ht="13.5">
      <c r="A6" s="2" t="s">
        <v>10</v>
      </c>
      <c r="B6" s="3">
        <v>3.15</v>
      </c>
      <c r="C6" s="3">
        <v>3.52</v>
      </c>
      <c r="D6" s="3"/>
      <c r="E6" s="3"/>
      <c r="F6" s="3"/>
      <c r="G6" s="3"/>
    </row>
    <row r="7" spans="1:7" ht="13.5">
      <c r="A7" s="4" t="s">
        <v>11</v>
      </c>
      <c r="B7" s="3">
        <v>500</v>
      </c>
      <c r="C7" s="3">
        <v>450</v>
      </c>
      <c r="D7" s="3">
        <v>461</v>
      </c>
      <c r="E7" s="3">
        <v>457</v>
      </c>
      <c r="F7" s="3">
        <v>550</v>
      </c>
      <c r="G7" s="3">
        <v>560</v>
      </c>
    </row>
    <row r="8" spans="1:7" ht="13.5">
      <c r="A8" s="2" t="s">
        <v>12</v>
      </c>
      <c r="B8" s="3">
        <v>217</v>
      </c>
      <c r="C8" s="3">
        <v>150</v>
      </c>
      <c r="D8" s="3">
        <v>217</v>
      </c>
      <c r="E8" s="3">
        <v>206</v>
      </c>
      <c r="F8" s="3">
        <v>244</v>
      </c>
      <c r="G8" s="3">
        <v>555</v>
      </c>
    </row>
    <row r="9" spans="1:7" ht="13.5">
      <c r="A9" s="4" t="s">
        <v>13</v>
      </c>
      <c r="B9" s="3">
        <v>1563</v>
      </c>
      <c r="C9" s="3">
        <v>1458</v>
      </c>
      <c r="D9" s="3">
        <v>1418</v>
      </c>
      <c r="E9" s="3">
        <v>1507</v>
      </c>
      <c r="F9" s="3">
        <v>1378</v>
      </c>
      <c r="G9" s="3">
        <v>1120</v>
      </c>
    </row>
    <row r="10" spans="1:7" ht="13.5">
      <c r="A10" s="5" t="s">
        <v>14</v>
      </c>
      <c r="B10" s="3">
        <v>211</v>
      </c>
      <c r="C10" s="3">
        <v>171</v>
      </c>
      <c r="D10" s="3">
        <v>126</v>
      </c>
      <c r="E10" s="3">
        <v>86</v>
      </c>
      <c r="F10" s="3">
        <v>121</v>
      </c>
      <c r="G10" s="3">
        <v>66</v>
      </c>
    </row>
    <row r="12" spans="1:7" ht="13.5">
      <c r="A12" s="6" t="s">
        <v>15</v>
      </c>
      <c r="B12" s="7">
        <v>3.95</v>
      </c>
      <c r="C12" s="8"/>
      <c r="D12" s="8" t="s">
        <v>16</v>
      </c>
      <c r="E12" s="8"/>
      <c r="F12" s="8"/>
      <c r="G12" s="8"/>
    </row>
    <row r="13" spans="1:7" ht="13.5">
      <c r="A13" s="9" t="s">
        <v>17</v>
      </c>
      <c r="B13" s="7">
        <v>0.11</v>
      </c>
      <c r="C13" s="8"/>
      <c r="D13" s="8"/>
      <c r="E13" s="8"/>
      <c r="F13" s="8"/>
      <c r="G13" s="8"/>
    </row>
    <row r="14" spans="1:7" ht="13.5">
      <c r="A14" s="6" t="s">
        <v>18</v>
      </c>
      <c r="B14" s="7">
        <v>4.05</v>
      </c>
      <c r="C14" s="8"/>
      <c r="D14" s="8"/>
      <c r="E14" s="8"/>
      <c r="F14" s="8"/>
      <c r="G14" s="8"/>
    </row>
    <row r="15" spans="1:7" ht="13.5">
      <c r="A15" s="9" t="s">
        <v>19</v>
      </c>
      <c r="B15" s="7">
        <v>2500</v>
      </c>
      <c r="C15" s="8"/>
      <c r="D15" s="8"/>
      <c r="E15" s="8"/>
      <c r="F15" s="8"/>
      <c r="G15" s="8"/>
    </row>
    <row r="16" spans="1:7" ht="13.5">
      <c r="A16" s="6" t="s">
        <v>20</v>
      </c>
      <c r="B16" s="7">
        <v>36</v>
      </c>
      <c r="C16" s="8"/>
      <c r="D16" s="8"/>
      <c r="E16" s="8"/>
      <c r="F16" s="8"/>
      <c r="G16" s="8"/>
    </row>
    <row r="17" spans="1:7" ht="13.5">
      <c r="A17" s="9" t="s">
        <v>21</v>
      </c>
      <c r="B17" s="7">
        <v>2.9</v>
      </c>
      <c r="C17" s="8"/>
      <c r="D17" s="8"/>
      <c r="E17" s="8"/>
      <c r="F17" s="8"/>
      <c r="G17" s="8"/>
    </row>
    <row r="18" spans="1:7" ht="24" customHeight="1">
      <c r="A18" s="10" t="s">
        <v>22</v>
      </c>
      <c r="B18" s="7">
        <v>13000</v>
      </c>
      <c r="C18" s="8"/>
      <c r="D18" s="8"/>
      <c r="E18" s="8"/>
      <c r="F18" s="8"/>
      <c r="G18" s="8"/>
    </row>
    <row r="19" spans="1:7" ht="23.25">
      <c r="A19" s="11" t="s">
        <v>23</v>
      </c>
      <c r="B19" s="7">
        <v>1000</v>
      </c>
      <c r="C19" s="8"/>
      <c r="D19" s="12"/>
      <c r="E19" s="8"/>
      <c r="F19" s="8"/>
      <c r="G19" s="8"/>
    </row>
    <row r="20" spans="1:7" ht="23.25">
      <c r="A20" s="10" t="s">
        <v>24</v>
      </c>
      <c r="B20" s="7">
        <v>1000</v>
      </c>
      <c r="C20" s="8"/>
      <c r="D20" s="12"/>
      <c r="E20" s="8"/>
      <c r="F20" s="12"/>
      <c r="G20" s="8"/>
    </row>
    <row r="22" spans="2:7" ht="13.5">
      <c r="B22" s="1" t="s">
        <v>0</v>
      </c>
      <c r="C22" s="1" t="s">
        <v>1</v>
      </c>
      <c r="D22" s="1" t="s">
        <v>2</v>
      </c>
      <c r="E22" s="1" t="s">
        <v>3</v>
      </c>
      <c r="F22" s="1" t="s">
        <v>4</v>
      </c>
      <c r="G22" s="1" t="s">
        <v>5</v>
      </c>
    </row>
    <row r="23" spans="1:7" ht="13.5">
      <c r="A23" s="13" t="s">
        <v>25</v>
      </c>
      <c r="B23" s="14">
        <f>SUM(B18:B20)</f>
        <v>15000</v>
      </c>
      <c r="C23" s="14">
        <f>SUM(B18:B20)</f>
        <v>15000</v>
      </c>
      <c r="D23" s="14">
        <f>SUM(B18:B20)</f>
        <v>15000</v>
      </c>
      <c r="E23" s="14">
        <f>SUM(B18:B20)</f>
        <v>15000</v>
      </c>
      <c r="F23" s="14">
        <f>SUM(B18:B20)</f>
        <v>15000</v>
      </c>
      <c r="G23" s="14">
        <f>SUM(B18:B20)</f>
        <v>15000</v>
      </c>
    </row>
    <row r="24" spans="1:7" ht="23.25">
      <c r="A24" s="15" t="s">
        <v>26</v>
      </c>
      <c r="B24" s="14"/>
      <c r="C24" s="16">
        <f>(B20*0.3)+((B20/27)*B12)</f>
        <v>446.29629629629636</v>
      </c>
      <c r="D24" s="14"/>
      <c r="E24" s="14"/>
      <c r="F24" s="14"/>
      <c r="G24" s="14"/>
    </row>
    <row r="25" spans="1:7" ht="23.25">
      <c r="A25" s="17" t="s">
        <v>27</v>
      </c>
      <c r="B25" s="14">
        <f>INT(((INT(B20/200)*40)+(INT(B19*0.5))+B18)/B6)</f>
        <v>4349</v>
      </c>
      <c r="C25" s="14">
        <f>INT(SUM(B18:B19)/C6)</f>
        <v>3977</v>
      </c>
      <c r="D25" s="14">
        <v>0</v>
      </c>
      <c r="E25" s="14">
        <v>0</v>
      </c>
      <c r="F25" s="14">
        <v>0</v>
      </c>
      <c r="G25" s="14">
        <v>0</v>
      </c>
    </row>
    <row r="26" spans="1:7" ht="23.25">
      <c r="A26" s="15" t="s">
        <v>28</v>
      </c>
      <c r="B26" s="14">
        <f>INT((B19*0.5)/((B4+B5)/2)+(B20-((INT(B20/200))*40))/B5)</f>
        <v>33</v>
      </c>
      <c r="C26" s="14">
        <f>INT(B20/27)</f>
        <v>37</v>
      </c>
      <c r="D26" s="14">
        <f>INT((B18/D4)+(B19/((D4+D5)/2))+(B20/D5))</f>
        <v>295</v>
      </c>
      <c r="E26" s="14">
        <f>INT((B18/E4)+(B19/((E4+E5)/2))+(B20/E5))</f>
        <v>501</v>
      </c>
      <c r="F26" s="14">
        <f>INT((B18/F4)+(B19/((F4+F5)/2))+(B20/F5))</f>
        <v>484</v>
      </c>
      <c r="G26" s="14">
        <f>INT((B18/G4)+(B19/((G4+G5)/2))+(B20/G5))</f>
        <v>501</v>
      </c>
    </row>
    <row r="27" spans="1:7" ht="23.25">
      <c r="A27" s="17" t="s">
        <v>29</v>
      </c>
      <c r="B27" s="14">
        <f>INT((B25+(B26*36.6))/12)</f>
        <v>463</v>
      </c>
      <c r="C27" s="14">
        <f>INT((C25+((B20/27)*36.6))/12)</f>
        <v>444</v>
      </c>
      <c r="D27" s="14">
        <f>INT((D26*36.6)/12)</f>
        <v>899</v>
      </c>
      <c r="E27" s="14">
        <f>INT((E26*36.6)/12)</f>
        <v>1528</v>
      </c>
      <c r="F27" s="14">
        <f>INT((F26*36.6)/12)</f>
        <v>1476</v>
      </c>
      <c r="G27" s="14">
        <f>INT((G26*36.6)/12)</f>
        <v>1528</v>
      </c>
    </row>
    <row r="28" spans="1:7" ht="13.5">
      <c r="A28" s="15" t="s">
        <v>30</v>
      </c>
      <c r="B28" s="16">
        <f>(((B25*B13)+(B26*B12))/12)</f>
        <v>50.72833333333333</v>
      </c>
      <c r="C28" s="16">
        <f>(((((C25*B13)))+((B20/27)*B12))/12)</f>
        <v>48.64719135802469</v>
      </c>
      <c r="D28" s="16">
        <f>(((D26*B12))/12)</f>
        <v>97.10416666666667</v>
      </c>
      <c r="E28" s="16">
        <f>(((E26*B12))/12)</f>
        <v>164.9125</v>
      </c>
      <c r="F28" s="16">
        <f>(((F26*B14))/12)</f>
        <v>163.35</v>
      </c>
      <c r="G28" s="16">
        <f>(((G26*B12))/12)</f>
        <v>164.9125</v>
      </c>
    </row>
    <row r="29" spans="1:7" ht="13.5">
      <c r="A29" s="17" t="s">
        <v>31</v>
      </c>
      <c r="B29" s="16">
        <f>(((B25*B13)+(B26*B12)))</f>
        <v>608.74</v>
      </c>
      <c r="C29" s="16">
        <f>(((C25*B13)))+((B20/27)*B12)</f>
        <v>583.7662962962963</v>
      </c>
      <c r="D29" s="16">
        <f>(((D26*B12)))</f>
        <v>1165.25</v>
      </c>
      <c r="E29" s="16">
        <f>(((E26*B12)))</f>
        <v>1978.95</v>
      </c>
      <c r="F29" s="16">
        <f>(((F26*B14)))</f>
        <v>1960.1999999999998</v>
      </c>
      <c r="G29" s="16">
        <f>(((G26*B12)))</f>
        <v>1978.95</v>
      </c>
    </row>
    <row r="30" spans="1:7" ht="13.5">
      <c r="A30" s="15" t="s">
        <v>32</v>
      </c>
      <c r="B30" s="16">
        <f>PMT(((B17)*0.01)/12,B16,-(B2-B15))</f>
        <v>879.2452023043284</v>
      </c>
      <c r="C30" s="16">
        <f>PMT(((B17)*0.01)/12,B16,-(C2-B15))</f>
        <v>661.4665029224769</v>
      </c>
      <c r="D30" s="16">
        <f>PMT(((B17)*0.01)/12,B16,-(D2-B15))</f>
        <v>610.3611014675357</v>
      </c>
      <c r="E30" s="16">
        <f>PMT(((B17)*0.01)/12,B16,-(E2-B15))</f>
        <v>380.53198071988845</v>
      </c>
      <c r="F30" s="16">
        <f>PMT(((B17+0.00001)/100)/12,B16,-(F2-B15))</f>
        <v>595.1166827482166</v>
      </c>
      <c r="G30" s="16">
        <f>PMT(((B17)*0.01)/12,B16,-(G2-B15))</f>
        <v>257.99516586770005</v>
      </c>
    </row>
    <row r="31" spans="1:7" ht="13.5">
      <c r="A31" s="17" t="s">
        <v>33</v>
      </c>
      <c r="B31" s="16">
        <f>INT((B30*B16)-(B2-B15))</f>
        <v>1372</v>
      </c>
      <c r="C31" s="16">
        <f>INT((C30*B16)-(C2-B15))</f>
        <v>1032</v>
      </c>
      <c r="D31" s="16">
        <f>INT((D30*B16)-(D2-B15))</f>
        <v>952</v>
      </c>
      <c r="E31" s="16">
        <f>INT((E30*B16)-(E2-B15))</f>
        <v>594</v>
      </c>
      <c r="F31" s="16">
        <f>INT((F30*B16)-(F2-B15))</f>
        <v>929</v>
      </c>
      <c r="G31" s="16">
        <f>INT((G30*B16)-(G2-B15))</f>
        <v>402</v>
      </c>
    </row>
    <row r="32" spans="1:7" ht="23.25">
      <c r="A32" s="15" t="s">
        <v>34</v>
      </c>
      <c r="B32" s="16">
        <f>(((B23/20)*B12)-B29)</f>
        <v>2353.76</v>
      </c>
      <c r="C32" s="16">
        <f>(((B23/20)*B12)-C29)</f>
        <v>2378.7337037037037</v>
      </c>
      <c r="D32" s="16">
        <f>(((B23/20)*B12)-D29)</f>
        <v>1797.25</v>
      </c>
      <c r="E32" s="16">
        <f>(((B23/20)*B12)-E29)</f>
        <v>983.55</v>
      </c>
      <c r="F32" s="16">
        <f>(((B23/20)*B12)-F29)</f>
        <v>1002.3000000000002</v>
      </c>
      <c r="G32" s="16">
        <f>(((B23/20)*B12)-G29)</f>
        <v>983.55</v>
      </c>
    </row>
    <row r="33" spans="1:7" ht="23.25">
      <c r="A33" s="17" t="s">
        <v>35</v>
      </c>
      <c r="B33" s="16">
        <f>(B30-(B32/12))</f>
        <v>683.0985356376617</v>
      </c>
      <c r="C33" s="16">
        <f>(C30-(C32/12))</f>
        <v>463.2386942805016</v>
      </c>
      <c r="D33" s="16">
        <f>(D30-(D32/12))</f>
        <v>460.59026813420235</v>
      </c>
      <c r="E33" s="16">
        <f>(E30-(E32/12))</f>
        <v>298.5694807198885</v>
      </c>
      <c r="F33" s="16">
        <f>(F30-(F32/12))</f>
        <v>511.59168274821656</v>
      </c>
      <c r="G33" s="16">
        <f>(G30-(G32/12))</f>
        <v>176.03266586770008</v>
      </c>
    </row>
    <row r="34" spans="1:7" ht="23.25">
      <c r="A34" s="15" t="s">
        <v>36</v>
      </c>
      <c r="B34" s="16">
        <f>B32*8</f>
        <v>18830.08</v>
      </c>
      <c r="C34" s="16">
        <f>C32*8</f>
        <v>19029.86962962963</v>
      </c>
      <c r="D34" s="16">
        <f>D32*8</f>
        <v>14378</v>
      </c>
      <c r="E34" s="16">
        <f>E32*8</f>
        <v>7868.4</v>
      </c>
      <c r="F34" s="16">
        <f>F32*8</f>
        <v>8018.4000000000015</v>
      </c>
      <c r="G34" s="16">
        <f>G32*8</f>
        <v>7868.4</v>
      </c>
    </row>
    <row r="35" spans="1:7" ht="23.25">
      <c r="A35" s="17" t="s">
        <v>37</v>
      </c>
      <c r="B35" s="16">
        <f>(B2-B3)+(B7*8)+(B8*8)+(B9*8)+(B29*8)+(B10*8)+B31</f>
        <v>41899.92</v>
      </c>
      <c r="C35" s="16">
        <f>(C2-C3)+(C7*8)+(C8*8)+(C9*8)+(C29*8)+C31+(C24*8)-(((B20/26)*B12)*8)+(C10*8)</f>
        <v>38023.11612535613</v>
      </c>
      <c r="D35" s="16">
        <f>(D2-D3)+(D7*8)+(D8*8)+(D9*8)+(D29*8)+(D10*8)+D31</f>
        <v>40046</v>
      </c>
      <c r="E35" s="16">
        <f>(E2-E3)+(E7*8)+(E8*8)+(E9*8)+(E29*8)+(E10*8)+E31</f>
        <v>41339.6</v>
      </c>
      <c r="F35" s="16">
        <f>(F2-F3)+(F7*8)+(F8*8)+(F9*8)+(F29*8)+(F10*8)+F31</f>
        <v>45992.6</v>
      </c>
      <c r="G35" s="16">
        <f>(G2-G3)+(G7*8)+(G8*8)+(G9*8)+(G29*8)+(G10*8)+G31</f>
        <v>42041.6</v>
      </c>
    </row>
    <row r="36" spans="1:7" ht="23.25">
      <c r="A36" s="15" t="s">
        <v>38</v>
      </c>
      <c r="B36" s="16">
        <f>B35/8</f>
        <v>5237.49</v>
      </c>
      <c r="C36" s="16">
        <f>C35/8</f>
        <v>4752.889515669516</v>
      </c>
      <c r="D36" s="16">
        <f>D35/8</f>
        <v>5005.75</v>
      </c>
      <c r="E36" s="16">
        <f>E35/8</f>
        <v>5167.45</v>
      </c>
      <c r="F36" s="16">
        <f>F35/8</f>
        <v>5749.075</v>
      </c>
      <c r="G36" s="16">
        <f>G35/8</f>
        <v>5255.2</v>
      </c>
    </row>
    <row r="37" spans="1:7" ht="23.25">
      <c r="A37" s="17" t="s">
        <v>39</v>
      </c>
      <c r="B37" s="16">
        <f>(B29/B23)</f>
        <v>0.04058266666666667</v>
      </c>
      <c r="C37" s="16">
        <f>(C29/C23)</f>
        <v>0.03891775308641975</v>
      </c>
      <c r="D37" s="16">
        <f>(D29/D23)</f>
        <v>0.07768333333333333</v>
      </c>
      <c r="E37" s="16">
        <f>(E29/E23)</f>
        <v>0.13193</v>
      </c>
      <c r="F37" s="16">
        <f>(F29/F23)</f>
        <v>0.13068</v>
      </c>
      <c r="G37" s="16">
        <f>(G29/G23)</f>
        <v>0.13193</v>
      </c>
    </row>
    <row r="38" spans="1:7" ht="23.25">
      <c r="A38" s="15" t="s">
        <v>40</v>
      </c>
      <c r="B38" s="16">
        <f>B36/B23</f>
        <v>0.349166</v>
      </c>
      <c r="C38" s="16">
        <f>C36/C23</f>
        <v>0.3168593010446344</v>
      </c>
      <c r="D38" s="16">
        <f>D36/D23</f>
        <v>0.33371666666666666</v>
      </c>
      <c r="E38" s="16">
        <f>E36/E23</f>
        <v>0.3444966666666667</v>
      </c>
      <c r="F38" s="16">
        <f>F36/F23</f>
        <v>0.3832716666666667</v>
      </c>
      <c r="G38" s="16">
        <f>G36/G23</f>
        <v>0.35034666666666664</v>
      </c>
    </row>
    <row r="40" ht="13.5">
      <c r="A40" t="s">
        <v>41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Efficient Car Shootout</dc:title>
  <dc:subject/>
  <dc:creator>Zoho Sheet</dc:creator>
  <cp:keywords/>
  <dc:description/>
  <cp:lastModifiedBy>Dave Muse</cp:lastModifiedBy>
  <dcterms:created xsi:type="dcterms:W3CDTF">2008-01-25T22:43:47Z</dcterms:created>
  <dcterms:modified xsi:type="dcterms:W3CDTF">2011-09-03T21:02:30Z</dcterms:modified>
  <cp:category/>
  <cp:version/>
  <cp:contentType/>
  <cp:contentStatus/>
  <cp:revision>13</cp:revision>
</cp:coreProperties>
</file>